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60" windowWidth="11480" windowHeight="13480" activeTab="0"/>
  </bookViews>
  <sheets>
    <sheet name="HAWK.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<sst xmlns="http://schemas.openxmlformats.org/spreadsheetml/2006/main" count="69" uniqueCount="61">
  <si>
    <t>HAWKINDALE WORKSHEET</t>
  </si>
  <si>
    <t>Hawkindale</t>
  </si>
  <si>
    <t>Angle</t>
  </si>
  <si>
    <t>Radians</t>
  </si>
  <si>
    <t>Degrees</t>
  </si>
  <si>
    <t>Rise</t>
  </si>
  <si>
    <t>Run</t>
  </si>
  <si>
    <t>SS</t>
  </si>
  <si>
    <t>S</t>
  </si>
  <si>
    <t>DD</t>
  </si>
  <si>
    <t>D</t>
  </si>
  <si>
    <t>W</t>
  </si>
  <si>
    <t>R1</t>
  </si>
  <si>
    <t>Main</t>
  </si>
  <si>
    <t>Adjacent</t>
  </si>
  <si>
    <t>R2m</t>
  </si>
  <si>
    <t>R2a</t>
  </si>
  <si>
    <t>R3m</t>
  </si>
  <si>
    <t>R3a</t>
  </si>
  <si>
    <t>P2m</t>
  </si>
  <si>
    <t>P2a</t>
  </si>
  <si>
    <t>C2m</t>
  </si>
  <si>
    <t>C2a</t>
  </si>
  <si>
    <t>C5m</t>
  </si>
  <si>
    <t>C5a</t>
  </si>
  <si>
    <t>R4m</t>
  </si>
  <si>
    <t>R4a</t>
  </si>
  <si>
    <t>R5m</t>
  </si>
  <si>
    <t>R5a</t>
  </si>
  <si>
    <t>R6m</t>
  </si>
  <si>
    <t>R6a</t>
  </si>
  <si>
    <t>R7m</t>
  </si>
  <si>
    <t>R7a</t>
  </si>
  <si>
    <t>P1m</t>
  </si>
  <si>
    <t>P1a</t>
  </si>
  <si>
    <t>P3m</t>
  </si>
  <si>
    <t>P3a</t>
  </si>
  <si>
    <t>P4m</t>
  </si>
  <si>
    <t>P4a</t>
  </si>
  <si>
    <t>P5m</t>
  </si>
  <si>
    <t>P5a</t>
  </si>
  <si>
    <t>P6m</t>
  </si>
  <si>
    <t>P6a</t>
  </si>
  <si>
    <t>C1m</t>
  </si>
  <si>
    <t>C1a</t>
  </si>
  <si>
    <t>A5m</t>
  </si>
  <si>
    <t>A5a</t>
  </si>
  <si>
    <t>A7m</t>
  </si>
  <si>
    <t>A7a</t>
  </si>
  <si>
    <t>A8m</t>
  </si>
  <si>
    <t>A8a</t>
  </si>
  <si>
    <t>A9m</t>
  </si>
  <si>
    <t>A9a</t>
  </si>
  <si>
    <t xml:space="preserve">Note:  This version of the spreadsheet is set up to calculate Hawkindale Angles    </t>
  </si>
  <si>
    <t xml:space="preserve">altered. </t>
  </si>
  <si>
    <t xml:space="preserve">Tangent    </t>
  </si>
  <si>
    <t>protection back on afterwards to insure that key formulas are not unintentionally</t>
  </si>
  <si>
    <t xml:space="preserve">based on Main and Adjacent Pitches (SS &amp; S) and Wall Angle (W=DD+D).  Data </t>
  </si>
  <si>
    <t>input is allowed only for the Main Rise [E14], Adjacent Rise [M14] and Wall</t>
  </si>
  <si>
    <t>to base 10), by unprotecting the worksheet and altering Cell G14.  Take care to turn</t>
  </si>
  <si>
    <t>Angle [C16]. At their own risk, users may also change the Run (say from base 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</si>
</sst>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6"/>
      <name val="Garamond"/>
      <family val="0"/>
    </font>
    <font>
      <b/>
      <sz val="16"/>
      <name val="Garamond"/>
      <family val="0"/>
    </font>
    <font>
      <i/>
      <sz val="16"/>
      <name val="Garamond"/>
      <family val="0"/>
    </font>
    <font>
      <b/>
      <i/>
      <sz val="16"/>
      <name val="Garamond"/>
      <family val="0"/>
    </font>
    <font>
      <sz val="12"/>
      <name val="Arial"/>
      <family val="2"/>
    </font>
    <font>
      <u val="single"/>
      <sz val="16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zoomScale="75" zoomScaleNormal="75" workbookViewId="0" topLeftCell="A1">
      <selection activeCell="A1" sqref="A1"/>
    </sheetView>
  </sheetViews>
  <sheetFormatPr defaultColWidth="8.59765625" defaultRowHeight="21"/>
  <cols>
    <col min="1" max="1" width="10.69921875" style="2" customWidth="1"/>
    <col min="2" max="2" width="7.5" style="1" hidden="1" customWidth="1"/>
    <col min="3" max="3" width="8.8984375" style="1" customWidth="1"/>
    <col min="4" max="4" width="1.69921875" style="1" customWidth="1"/>
    <col min="5" max="5" width="7.69921875" style="1" customWidth="1"/>
    <col min="6" max="6" width="1.69921875" style="1" customWidth="1"/>
    <col min="7" max="7" width="4.19921875" style="0" customWidth="1"/>
    <col min="8" max="8" width="3.69921875" style="0" customWidth="1"/>
    <col min="9" max="9" width="10.69921875" style="2" customWidth="1"/>
    <col min="10" max="10" width="7.5" style="1" hidden="1" customWidth="1"/>
    <col min="11" max="11" width="7.59765625" style="1" customWidth="1"/>
    <col min="12" max="12" width="1.69921875" style="1" customWidth="1"/>
    <col min="13" max="13" width="7.69921875" style="1" customWidth="1"/>
    <col min="14" max="14" width="1.69921875" style="1" customWidth="1"/>
    <col min="15" max="15" width="4.69921875" style="0" customWidth="1"/>
  </cols>
  <sheetData>
    <row r="1" ht="18.75">
      <c r="E1" s="1" t="s">
        <v>0</v>
      </c>
    </row>
    <row r="3" ht="18.75">
      <c r="A3" s="14" t="s">
        <v>53</v>
      </c>
    </row>
    <row r="4" ht="18.75">
      <c r="A4" s="14" t="s">
        <v>57</v>
      </c>
    </row>
    <row r="5" spans="1:13" ht="18.75">
      <c r="A5" s="14" t="s">
        <v>58</v>
      </c>
      <c r="M5" s="15"/>
    </row>
    <row r="6" spans="1:13" ht="18.75">
      <c r="A6" s="14" t="s">
        <v>60</v>
      </c>
      <c r="M6" s="15"/>
    </row>
    <row r="7" spans="1:13" ht="18.75">
      <c r="A7" s="14" t="s">
        <v>59</v>
      </c>
      <c r="M7" s="15"/>
    </row>
    <row r="8" spans="1:13" ht="18.75">
      <c r="A8" s="14" t="s">
        <v>56</v>
      </c>
      <c r="M8" s="15"/>
    </row>
    <row r="9" spans="1:13" ht="18.75">
      <c r="A9" s="14" t="s">
        <v>54</v>
      </c>
      <c r="M9" s="15"/>
    </row>
    <row r="10" spans="1:17" ht="6.75" customHeight="1">
      <c r="A10"/>
      <c r="B10"/>
      <c r="C10" s="2"/>
      <c r="D10"/>
      <c r="E10"/>
      <c r="F10"/>
      <c r="K10" s="8"/>
      <c r="O10" s="2"/>
      <c r="Q10" s="13"/>
    </row>
    <row r="11" spans="3:17" s="19" customFormat="1" ht="18.75">
      <c r="C11" s="22" t="s">
        <v>13</v>
      </c>
      <c r="I11" s="4"/>
      <c r="J11" s="20"/>
      <c r="K11" s="23" t="s">
        <v>14</v>
      </c>
      <c r="Q11" s="21"/>
    </row>
    <row r="12" spans="1:14" ht="18.75">
      <c r="A12" s="4" t="s">
        <v>1</v>
      </c>
      <c r="E12"/>
      <c r="F12" s="7" t="s">
        <v>55</v>
      </c>
      <c r="I12" s="4" t="s">
        <v>1</v>
      </c>
      <c r="M12"/>
      <c r="N12" s="7" t="s">
        <v>55</v>
      </c>
    </row>
    <row r="13" spans="1:15" ht="19.5" thickBot="1">
      <c r="A13" s="3" t="s">
        <v>2</v>
      </c>
      <c r="B13" s="5" t="s">
        <v>3</v>
      </c>
      <c r="C13" s="5" t="s">
        <v>4</v>
      </c>
      <c r="D13" s="5"/>
      <c r="E13" s="4" t="s">
        <v>5</v>
      </c>
      <c r="F13" s="3"/>
      <c r="G13" s="4" t="s">
        <v>6</v>
      </c>
      <c r="H13" s="3"/>
      <c r="I13" s="3" t="s">
        <v>2</v>
      </c>
      <c r="J13" s="5" t="s">
        <v>3</v>
      </c>
      <c r="K13" s="5" t="s">
        <v>4</v>
      </c>
      <c r="L13" s="5"/>
      <c r="M13" s="4" t="s">
        <v>5</v>
      </c>
      <c r="N13" s="3"/>
      <c r="O13" s="3" t="s">
        <v>6</v>
      </c>
    </row>
    <row r="14" spans="1:15" ht="19.5" thickBot="1">
      <c r="A14" s="2" t="s">
        <v>7</v>
      </c>
      <c r="B14" s="1">
        <f>+ATAN(E14/G14)</f>
        <v>0.6435011087932844</v>
      </c>
      <c r="C14" s="1">
        <f>+DEGREES(B14)</f>
        <v>36.86989764584402</v>
      </c>
      <c r="E14" s="16">
        <v>9</v>
      </c>
      <c r="F14" s="9"/>
      <c r="G14" s="18">
        <v>12</v>
      </c>
      <c r="H14" s="2"/>
      <c r="I14" s="2" t="s">
        <v>8</v>
      </c>
      <c r="J14" s="1">
        <f>+ATAN(M14/O14)</f>
        <v>0.7853981633974483</v>
      </c>
      <c r="K14" s="1">
        <f>+DEGREES(J14)</f>
        <v>45</v>
      </c>
      <c r="M14" s="16">
        <v>12</v>
      </c>
      <c r="N14" s="6"/>
      <c r="O14" s="10">
        <f>+$G$14</f>
        <v>12</v>
      </c>
    </row>
    <row r="15" spans="1:15" s="13" customFormat="1" ht="19.5" thickBot="1">
      <c r="A15" s="10" t="s">
        <v>9</v>
      </c>
      <c r="B15" s="11">
        <f>+ATAN(SIN(B16)/(TAN(B14)/TAN(J14)+COS(B16)))</f>
        <v>0.9272952180016121</v>
      </c>
      <c r="C15" s="11">
        <f>+DEGREES(B15)</f>
        <v>53.13010235415597</v>
      </c>
      <c r="D15" s="11"/>
      <c r="E15" s="12">
        <f>+TAN(B15)*12</f>
        <v>15.999999999999993</v>
      </c>
      <c r="F15" s="12"/>
      <c r="G15" s="10">
        <f>+$G$14</f>
        <v>12</v>
      </c>
      <c r="H15" s="10"/>
      <c r="I15" s="10" t="s">
        <v>10</v>
      </c>
      <c r="J15" s="11">
        <f>ATAN(SIN(B16)/(TAN(J14)/TAN(B14)+COS(B16)))</f>
        <v>0.6435011087932844</v>
      </c>
      <c r="K15" s="11">
        <f>+DEGREES(J15)</f>
        <v>36.86989764584402</v>
      </c>
      <c r="L15" s="11"/>
      <c r="M15" s="12">
        <f>+TAN(J15)*12</f>
        <v>9</v>
      </c>
      <c r="N15" s="12"/>
      <c r="O15" s="10">
        <f>+$G$14</f>
        <v>12</v>
      </c>
    </row>
    <row r="16" spans="1:17" ht="19.5" thickBot="1">
      <c r="A16" s="2" t="s">
        <v>11</v>
      </c>
      <c r="B16" s="1">
        <f>RADIANS(C16)</f>
        <v>1.5707963267948966</v>
      </c>
      <c r="C16" s="17">
        <v>90</v>
      </c>
      <c r="E16" s="6"/>
      <c r="F16" s="6"/>
      <c r="G16" s="2"/>
      <c r="H16" s="2"/>
      <c r="M16" s="6"/>
      <c r="N16" s="6"/>
      <c r="O16" s="2"/>
      <c r="Q16" s="13"/>
    </row>
    <row r="17" spans="1:17" ht="18.75">
      <c r="A17" s="2" t="s">
        <v>12</v>
      </c>
      <c r="B17" s="1">
        <f>ATAN(TAN(B14)*SIN(B15))</f>
        <v>0.5404195002705842</v>
      </c>
      <c r="C17" s="1">
        <f>+DEGREES(B17)</f>
        <v>30.96375653207352</v>
      </c>
      <c r="E17" s="1">
        <f>+TAN(B17)*G17</f>
        <v>7.199999999999999</v>
      </c>
      <c r="G17" s="2">
        <f>+$G$14</f>
        <v>12</v>
      </c>
      <c r="H17" s="2"/>
      <c r="I17" s="2" t="s">
        <v>12</v>
      </c>
      <c r="J17" s="1">
        <f>ATAN(TAN(J14)*SIN(J15))</f>
        <v>0.540419500270584</v>
      </c>
      <c r="K17" s="1">
        <f>C17</f>
        <v>30.96375653207352</v>
      </c>
      <c r="M17" s="1">
        <f>E17</f>
        <v>7.199999999999999</v>
      </c>
      <c r="O17" s="2">
        <f aca="true" t="shared" si="0" ref="O17:O30">+$G$14</f>
        <v>12</v>
      </c>
      <c r="Q17" s="13"/>
    </row>
    <row r="18" spans="1:17" ht="6.75" customHeight="1">
      <c r="A18"/>
      <c r="B18"/>
      <c r="C18" s="2"/>
      <c r="D18"/>
      <c r="E18"/>
      <c r="F18"/>
      <c r="K18" s="8"/>
      <c r="O18" s="2"/>
      <c r="Q18" s="13"/>
    </row>
    <row r="19" spans="1:17" ht="18.75">
      <c r="A19" s="2" t="s">
        <v>15</v>
      </c>
      <c r="B19" s="1">
        <f>ATAN(SIN(B14)*COS(B14)*COS(B15)/TAN(B15))</f>
        <v>0.21273178069161033</v>
      </c>
      <c r="C19" s="1">
        <f aca="true" t="shared" si="1" ref="C19:C30">+DEGREES(B19)</f>
        <v>12.18863320193189</v>
      </c>
      <c r="E19" s="1">
        <f aca="true" t="shared" si="2" ref="E19:E30">+TAN(B19)*G19</f>
        <v>2.5920000000000014</v>
      </c>
      <c r="G19" s="2">
        <f aca="true" t="shared" si="3" ref="G19:G30">+$G$14</f>
        <v>12</v>
      </c>
      <c r="H19" s="2"/>
      <c r="I19" s="2" t="s">
        <v>16</v>
      </c>
      <c r="J19" s="1">
        <f>ATAN(SIN(J14)*COS(J14)*COS(J15)/TAN(J15))</f>
        <v>0.4899573262537283</v>
      </c>
      <c r="K19" s="1">
        <f aca="true" t="shared" si="4" ref="K19:K30">+DEGREES(J19)</f>
        <v>28.072486935852957</v>
      </c>
      <c r="M19" s="1">
        <f aca="true" t="shared" si="5" ref="M19:M30">+TAN(J19)*O19</f>
        <v>6.4</v>
      </c>
      <c r="O19" s="2">
        <f t="shared" si="0"/>
        <v>12</v>
      </c>
      <c r="Q19" s="13"/>
    </row>
    <row r="20" spans="1:17" ht="18.75">
      <c r="A20" s="2" t="s">
        <v>17</v>
      </c>
      <c r="B20" s="1">
        <f>ATAN(SIN(B14)*COS(B14)*COS(B15)/SIN($B$17))</f>
        <v>0.5103142656010788</v>
      </c>
      <c r="C20" s="1">
        <f t="shared" si="1"/>
        <v>29.238853644259944</v>
      </c>
      <c r="E20" s="1">
        <f t="shared" si="2"/>
        <v>6.717256582861786</v>
      </c>
      <c r="G20" s="2">
        <f t="shared" si="3"/>
        <v>12</v>
      </c>
      <c r="H20" s="2"/>
      <c r="I20" s="2" t="s">
        <v>18</v>
      </c>
      <c r="J20" s="1">
        <f>ATAN(SIN(J14)*COS(J14)*COS(J15)/SIN($B$17))</f>
        <v>0.6608452958229668</v>
      </c>
      <c r="K20" s="1">
        <f t="shared" si="4"/>
        <v>37.86364636173037</v>
      </c>
      <c r="M20" s="1">
        <f t="shared" si="5"/>
        <v>9.329523031752482</v>
      </c>
      <c r="O20" s="2">
        <f t="shared" si="0"/>
        <v>12</v>
      </c>
      <c r="Q20" s="13"/>
    </row>
    <row r="21" spans="1:17" ht="18.75">
      <c r="A21" s="2" t="s">
        <v>19</v>
      </c>
      <c r="B21" s="1">
        <f>ATAN(COS(B14)/TAN(B15))</f>
        <v>0.5404195002705844</v>
      </c>
      <c r="C21" s="1">
        <f t="shared" si="1"/>
        <v>30.963756532073536</v>
      </c>
      <c r="E21" s="1">
        <f t="shared" si="2"/>
        <v>7.200000000000004</v>
      </c>
      <c r="G21" s="2">
        <f t="shared" si="3"/>
        <v>12</v>
      </c>
      <c r="H21" s="2"/>
      <c r="I21" s="2" t="s">
        <v>20</v>
      </c>
      <c r="J21" s="1">
        <f>ATAN(COS(J14)/TAN(J15))</f>
        <v>0.7559694104239078</v>
      </c>
      <c r="K21" s="1">
        <f t="shared" si="4"/>
        <v>43.31385665828306</v>
      </c>
      <c r="M21" s="1">
        <f t="shared" si="5"/>
        <v>11.313708498984761</v>
      </c>
      <c r="O21" s="2">
        <f t="shared" si="0"/>
        <v>12</v>
      </c>
      <c r="Q21" s="13"/>
    </row>
    <row r="22" spans="1:17" ht="18.75">
      <c r="A22" s="2" t="s">
        <v>21</v>
      </c>
      <c r="B22" s="1">
        <f>ATAN(TAN(B19)*COS(B20))</f>
        <v>0.18629417632675224</v>
      </c>
      <c r="C22" s="1">
        <f t="shared" si="1"/>
        <v>10.673870051388876</v>
      </c>
      <c r="E22" s="1">
        <f t="shared" si="2"/>
        <v>2.261755994433061</v>
      </c>
      <c r="G22" s="2">
        <f t="shared" si="3"/>
        <v>12</v>
      </c>
      <c r="H22" s="2"/>
      <c r="I22" s="2" t="s">
        <v>22</v>
      </c>
      <c r="J22" s="1">
        <f>ATAN(TAN(J19)*COS(J20))</f>
        <v>0.3985224456664202</v>
      </c>
      <c r="K22" s="1">
        <f t="shared" si="4"/>
        <v>22.83365417791754</v>
      </c>
      <c r="M22" s="1">
        <f t="shared" si="5"/>
        <v>5.052631578947368</v>
      </c>
      <c r="O22" s="2">
        <f t="shared" si="0"/>
        <v>12</v>
      </c>
      <c r="Q22" s="13"/>
    </row>
    <row r="23" spans="1:17" ht="18.75">
      <c r="A23" s="2" t="s">
        <v>23</v>
      </c>
      <c r="B23" s="1">
        <f>ATAN(SIN($B$17)/TAN(B15))</f>
        <v>0.3682678934366401</v>
      </c>
      <c r="C23" s="1">
        <f t="shared" si="1"/>
        <v>21.10019602409303</v>
      </c>
      <c r="E23" s="1">
        <f t="shared" si="2"/>
        <v>4.63046179884774</v>
      </c>
      <c r="G23" s="2">
        <f t="shared" si="3"/>
        <v>12</v>
      </c>
      <c r="H23" s="2"/>
      <c r="I23" s="2" t="s">
        <v>24</v>
      </c>
      <c r="J23" s="1">
        <f>ATAN(SIN($B$17)/TAN(J15))</f>
        <v>0.6012642166791283</v>
      </c>
      <c r="K23" s="1">
        <f t="shared" si="4"/>
        <v>34.44990198795349</v>
      </c>
      <c r="M23" s="1">
        <f t="shared" si="5"/>
        <v>8.231932086840425</v>
      </c>
      <c r="O23" s="2">
        <f t="shared" si="0"/>
        <v>12</v>
      </c>
      <c r="Q23" s="13"/>
    </row>
    <row r="24" spans="1:17" ht="18.75">
      <c r="A24" s="2" t="s">
        <v>25</v>
      </c>
      <c r="B24" s="1">
        <f>ATAN(TAN(B21)/COS(B23))</f>
        <v>0.5715232341084495</v>
      </c>
      <c r="C24" s="1">
        <f t="shared" si="1"/>
        <v>32.74586920808145</v>
      </c>
      <c r="E24" s="1">
        <f t="shared" si="2"/>
        <v>7.717436331412902</v>
      </c>
      <c r="G24" s="2">
        <f t="shared" si="3"/>
        <v>12</v>
      </c>
      <c r="H24" s="2"/>
      <c r="I24" s="2" t="s">
        <v>26</v>
      </c>
      <c r="J24" s="1">
        <f>ATAN(TAN(J21)/COS(J23))</f>
        <v>0.8521686798905614</v>
      </c>
      <c r="K24" s="1">
        <f t="shared" si="4"/>
        <v>48.82566879096404</v>
      </c>
      <c r="M24" s="1">
        <f t="shared" si="5"/>
        <v>13.719886811400709</v>
      </c>
      <c r="O24" s="2">
        <f t="shared" si="0"/>
        <v>12</v>
      </c>
      <c r="Q24" s="13"/>
    </row>
    <row r="25" spans="1:17" ht="18.75">
      <c r="A25" s="2" t="s">
        <v>27</v>
      </c>
      <c r="B25" s="1">
        <f>ATAN(TAN($B$17)*COS(B15))</f>
        <v>0.34555558058171215</v>
      </c>
      <c r="C25" s="1">
        <f>+DEGREES(B25)</f>
        <v>19.798876354524932</v>
      </c>
      <c r="E25" s="1">
        <f>+TAN(B25)*G25</f>
        <v>4.32</v>
      </c>
      <c r="G25" s="2">
        <f t="shared" si="3"/>
        <v>12</v>
      </c>
      <c r="H25" s="2"/>
      <c r="I25" s="2" t="s">
        <v>28</v>
      </c>
      <c r="J25" s="1">
        <f>ATAN(TAN($B$17)*COS(J15))</f>
        <v>0.44751997515716985</v>
      </c>
      <c r="K25" s="1">
        <f>+DEGREES(J25)</f>
        <v>25.64100582430528</v>
      </c>
      <c r="M25" s="1">
        <f>+TAN(J25)*O25</f>
        <v>5.76</v>
      </c>
      <c r="O25" s="2">
        <f t="shared" si="0"/>
        <v>12</v>
      </c>
      <c r="Q25" s="13"/>
    </row>
    <row r="26" spans="1:17" ht="18.75">
      <c r="A26" s="2" t="s">
        <v>29</v>
      </c>
      <c r="B26" s="1">
        <f>ATAN(1/(TAN(B25)*COS(B15)))-(RADIANS(90)-$B$17)</f>
        <v>0.3276877195789738</v>
      </c>
      <c r="C26" s="1">
        <f t="shared" si="1"/>
        <v>18.775123330141632</v>
      </c>
      <c r="E26" s="1">
        <f t="shared" si="2"/>
        <v>4.079320113314446</v>
      </c>
      <c r="G26" s="2">
        <f t="shared" si="3"/>
        <v>12</v>
      </c>
      <c r="H26" s="2"/>
      <c r="I26" s="2" t="s">
        <v>30</v>
      </c>
      <c r="J26" s="1">
        <f>ATAN(1/(TAN(J25)*COS(J15)))-(RADIANS(90)-$B$17)</f>
        <v>0.17378185943046986</v>
      </c>
      <c r="K26" s="1">
        <f t="shared" si="4"/>
        <v>9.956967101301668</v>
      </c>
      <c r="M26" s="1">
        <f t="shared" si="5"/>
        <v>2.106631989596879</v>
      </c>
      <c r="O26" s="2">
        <f t="shared" si="0"/>
        <v>12</v>
      </c>
      <c r="Q26" s="13"/>
    </row>
    <row r="27" spans="1:17" ht="18.75">
      <c r="A27" s="2" t="s">
        <v>31</v>
      </c>
      <c r="B27" s="1">
        <f>ATAN(TAN(B22)*COS(B20))</f>
        <v>0.16300640513669748</v>
      </c>
      <c r="C27" s="1">
        <f t="shared" si="1"/>
        <v>9.33957904793239</v>
      </c>
      <c r="E27" s="1">
        <f t="shared" si="2"/>
        <v>1.9735880317723316</v>
      </c>
      <c r="G27" s="2">
        <f t="shared" si="3"/>
        <v>12</v>
      </c>
      <c r="H27" s="2"/>
      <c r="I27" s="2" t="s">
        <v>32</v>
      </c>
      <c r="J27" s="1">
        <f>ATAN(TAN(J22)*COS(J20))</f>
        <v>0.3209192993927588</v>
      </c>
      <c r="K27" s="1">
        <f t="shared" si="4"/>
        <v>18.387321419500363</v>
      </c>
      <c r="M27" s="1">
        <f t="shared" si="5"/>
        <v>3.988919667590028</v>
      </c>
      <c r="O27" s="2">
        <f t="shared" si="0"/>
        <v>12</v>
      </c>
      <c r="Q27" s="13"/>
    </row>
    <row r="28" spans="1:17" ht="18.75">
      <c r="A28" s="2" t="s">
        <v>33</v>
      </c>
      <c r="B28" s="1">
        <f>ATAN(SIN(B14)/TAN(B15))</f>
        <v>0.42285392613294087</v>
      </c>
      <c r="C28" s="1">
        <f t="shared" si="1"/>
        <v>24.22774531795418</v>
      </c>
      <c r="E28" s="1">
        <f t="shared" si="2"/>
        <v>5.400000000000002</v>
      </c>
      <c r="G28" s="2">
        <f t="shared" si="3"/>
        <v>12</v>
      </c>
      <c r="H28" s="2"/>
      <c r="I28" s="2" t="s">
        <v>34</v>
      </c>
      <c r="J28" s="1">
        <f>ATAN(SIN(J14)/TAN(J15))</f>
        <v>0.7559694104239076</v>
      </c>
      <c r="K28" s="1">
        <f t="shared" si="4"/>
        <v>43.31385665828305</v>
      </c>
      <c r="M28" s="1">
        <f t="shared" si="5"/>
        <v>11.31370849898476</v>
      </c>
      <c r="O28" s="2">
        <f t="shared" si="0"/>
        <v>12</v>
      </c>
      <c r="Q28" s="13"/>
    </row>
    <row r="29" spans="1:17" ht="18.75">
      <c r="A29" s="2" t="s">
        <v>35</v>
      </c>
      <c r="B29" s="1">
        <f>ATAN(COS(B15)*SIN($B$17)*COS($B$17)/COS(B14))</f>
        <v>0.31954305246365206</v>
      </c>
      <c r="C29" s="1">
        <f t="shared" si="1"/>
        <v>18.308468278894704</v>
      </c>
      <c r="E29" s="1">
        <f t="shared" si="2"/>
        <v>3.970588235294118</v>
      </c>
      <c r="G29" s="2">
        <f t="shared" si="3"/>
        <v>12</v>
      </c>
      <c r="H29" s="2"/>
      <c r="I29" s="2" t="s">
        <v>36</v>
      </c>
      <c r="J29" s="1">
        <f>ATAN(COS(J15)*SIN($B$17)*COS($B$17)/COS(J14))</f>
        <v>0.4629547279403568</v>
      </c>
      <c r="K29" s="1">
        <f t="shared" si="4"/>
        <v>26.525352016609695</v>
      </c>
      <c r="M29" s="1">
        <f t="shared" si="5"/>
        <v>5.989610381815463</v>
      </c>
      <c r="O29" s="2">
        <f t="shared" si="0"/>
        <v>12</v>
      </c>
      <c r="Q29" s="13"/>
    </row>
    <row r="30" spans="1:17" ht="18.75">
      <c r="A30" s="2" t="s">
        <v>37</v>
      </c>
      <c r="B30" s="1">
        <f>B21-ATAN(TAN(B19)*TAN(B23)*COS(B23))</f>
        <v>0.46281566243733846</v>
      </c>
      <c r="C30" s="1">
        <f t="shared" si="1"/>
        <v>26.51738415021088</v>
      </c>
      <c r="E30" s="1">
        <f t="shared" si="2"/>
        <v>5.98752598752599</v>
      </c>
      <c r="G30" s="2">
        <f t="shared" si="3"/>
        <v>12</v>
      </c>
      <c r="H30" s="2"/>
      <c r="I30" s="2" t="s">
        <v>38</v>
      </c>
      <c r="J30" s="1">
        <f>J21-ATAN(TAN(J19)*TAN(J23)*COS(J23))</f>
        <v>0.4629547279403568</v>
      </c>
      <c r="K30" s="1">
        <f t="shared" si="4"/>
        <v>26.525352016609695</v>
      </c>
      <c r="M30" s="1">
        <f t="shared" si="5"/>
        <v>5.989610381815463</v>
      </c>
      <c r="O30" s="2">
        <f t="shared" si="0"/>
        <v>12</v>
      </c>
      <c r="Q30" s="13"/>
    </row>
    <row r="31" spans="1:17" ht="18.75">
      <c r="A31" s="2" t="s">
        <v>39</v>
      </c>
      <c r="B31" s="1">
        <f>ATAN(SIN(B15)*COS(B14)/COS(B15))</f>
        <v>0.8176450458327021</v>
      </c>
      <c r="C31" s="1">
        <f>+DEGREES(B31)</f>
        <v>46.84761026599459</v>
      </c>
      <c r="E31" s="1">
        <f>+TAN(B31)*G31</f>
        <v>12.799999999999997</v>
      </c>
      <c r="G31" s="2">
        <f>+$G$14</f>
        <v>12</v>
      </c>
      <c r="H31" s="2"/>
      <c r="I31" s="2" t="s">
        <v>40</v>
      </c>
      <c r="J31" s="1">
        <f>ATAN(SIN(J15)*COS(J14)/COS(J15))</f>
        <v>0.48761624271510606</v>
      </c>
      <c r="K31" s="1">
        <f>+DEGREES(J31)</f>
        <v>27.93835272960235</v>
      </c>
      <c r="M31" s="1">
        <f>+TAN(J31)*O31</f>
        <v>6.363961030678928</v>
      </c>
      <c r="O31" s="2">
        <f>+$G$14</f>
        <v>12</v>
      </c>
      <c r="Q31" s="13"/>
    </row>
    <row r="32" spans="1:17" ht="18.75">
      <c r="A32" s="2" t="s">
        <v>41</v>
      </c>
      <c r="B32" s="1">
        <f>ATAN(TAN(B23)*SIN(B21))</f>
        <v>0.19598113363611466</v>
      </c>
      <c r="C32" s="1">
        <f aca="true" t="shared" si="6" ref="C32:C37">+DEGREES(B32)</f>
        <v>11.228891821538747</v>
      </c>
      <c r="E32" s="1">
        <f aca="true" t="shared" si="7" ref="E32:E37">+TAN(B32)*G32</f>
        <v>2.3823529411764723</v>
      </c>
      <c r="G32" s="2">
        <f aca="true" t="shared" si="8" ref="G32:G37">+$G$14</f>
        <v>12</v>
      </c>
      <c r="H32" s="2"/>
      <c r="I32" s="2" t="s">
        <v>42</v>
      </c>
      <c r="J32" s="1">
        <f>ATAN(TAN(J23)*SIN(J21))</f>
        <v>0.43984258281573624</v>
      </c>
      <c r="K32" s="1">
        <f aca="true" t="shared" si="9" ref="K32:K37">+DEGREES(J32)</f>
        <v>25.201123645475075</v>
      </c>
      <c r="M32" s="1">
        <f aca="true" t="shared" si="10" ref="M32:M37">+TAN(J32)*O32</f>
        <v>5.647058823529413</v>
      </c>
      <c r="O32" s="2">
        <f aca="true" t="shared" si="11" ref="O32:O37">+$G$14</f>
        <v>12</v>
      </c>
      <c r="Q32" s="13"/>
    </row>
    <row r="33" spans="1:17" ht="18.75">
      <c r="A33" s="2" t="s">
        <v>43</v>
      </c>
      <c r="B33" s="1">
        <f>ATAN(SIN(B28+B58)/TAN(B14))</f>
        <v>0.5006547124045884</v>
      </c>
      <c r="C33" s="1">
        <f t="shared" si="6"/>
        <v>28.685402014118935</v>
      </c>
      <c r="E33" s="1">
        <f t="shared" si="7"/>
        <v>6.56583483726077</v>
      </c>
      <c r="G33" s="2">
        <f t="shared" si="8"/>
        <v>12</v>
      </c>
      <c r="H33" s="2"/>
      <c r="I33" s="2" t="s">
        <v>44</v>
      </c>
      <c r="J33" s="1">
        <f>ATAN(SIN(J28+J58)/TAN(J14))</f>
        <v>0.6012642166791283</v>
      </c>
      <c r="K33" s="1">
        <f t="shared" si="9"/>
        <v>34.44990198795349</v>
      </c>
      <c r="M33" s="1">
        <f t="shared" si="10"/>
        <v>8.231932086840425</v>
      </c>
      <c r="O33" s="2">
        <f t="shared" si="11"/>
        <v>12</v>
      </c>
      <c r="Q33" s="13"/>
    </row>
    <row r="34" spans="1:17" ht="18.75">
      <c r="A34" s="2" t="s">
        <v>45</v>
      </c>
      <c r="B34" s="1">
        <f>ATAN(TAN($B$17)*SIN(B24))</f>
        <v>0.313823298275011</v>
      </c>
      <c r="C34" s="1">
        <f t="shared" si="6"/>
        <v>17.9807505040333</v>
      </c>
      <c r="E34" s="1">
        <f t="shared" si="7"/>
        <v>3.8945796082629434</v>
      </c>
      <c r="G34" s="2">
        <f t="shared" si="8"/>
        <v>12</v>
      </c>
      <c r="H34" s="2"/>
      <c r="I34" s="2" t="s">
        <v>46</v>
      </c>
      <c r="J34" s="1">
        <f>ATAN(TAN($B$17)*SIN(J24))</f>
        <v>0.42420525084704547</v>
      </c>
      <c r="K34" s="1">
        <f t="shared" si="9"/>
        <v>24.305170520824095</v>
      </c>
      <c r="M34" s="1">
        <f t="shared" si="10"/>
        <v>5.419511492363867</v>
      </c>
      <c r="O34" s="2">
        <f t="shared" si="11"/>
        <v>12</v>
      </c>
      <c r="Q34" s="13"/>
    </row>
    <row r="35" spans="1:17" ht="18.75">
      <c r="A35" s="2" t="s">
        <v>47</v>
      </c>
      <c r="B35" s="1">
        <f>ATAN(TAN(B14)*COS(B15))</f>
        <v>0.42285392613294076</v>
      </c>
      <c r="C35" s="1">
        <f t="shared" si="6"/>
        <v>24.227745317954174</v>
      </c>
      <c r="E35" s="1">
        <f t="shared" si="7"/>
        <v>5.4</v>
      </c>
      <c r="G35" s="2">
        <f t="shared" si="8"/>
        <v>12</v>
      </c>
      <c r="H35" s="2"/>
      <c r="I35" s="2" t="s">
        <v>48</v>
      </c>
      <c r="J35" s="1">
        <f>ATAN(TAN(J14)*COS(J15))</f>
        <v>0.6747409422235526</v>
      </c>
      <c r="K35" s="1">
        <f t="shared" si="9"/>
        <v>38.65980825409009</v>
      </c>
      <c r="M35" s="1">
        <f t="shared" si="10"/>
        <v>9.6</v>
      </c>
      <c r="O35" s="2">
        <f t="shared" si="11"/>
        <v>12</v>
      </c>
      <c r="Q35" s="13"/>
    </row>
    <row r="36" spans="1:17" ht="18.75">
      <c r="A36" s="2" t="s">
        <v>49</v>
      </c>
      <c r="B36" s="1">
        <f>ATAN(TAN(B19)*TAN(B23)*COS(B23))</f>
        <v>0.07760383783324591</v>
      </c>
      <c r="C36" s="1">
        <f t="shared" si="6"/>
        <v>4.446372381862654</v>
      </c>
      <c r="E36" s="1">
        <f t="shared" si="7"/>
        <v>0.933120000000001</v>
      </c>
      <c r="G36" s="2">
        <f t="shared" si="8"/>
        <v>12</v>
      </c>
      <c r="H36" s="2"/>
      <c r="I36" s="2" t="s">
        <v>50</v>
      </c>
      <c r="J36" s="1">
        <f>ATAN(TAN(J19)*TAN(J23)*COS(J23))</f>
        <v>0.29301468248355095</v>
      </c>
      <c r="K36" s="1">
        <f t="shared" si="9"/>
        <v>16.78850464167336</v>
      </c>
      <c r="M36" s="1">
        <f t="shared" si="10"/>
        <v>3.620386719675123</v>
      </c>
      <c r="O36" s="2">
        <f t="shared" si="11"/>
        <v>12</v>
      </c>
      <c r="Q36" s="13"/>
    </row>
    <row r="37" spans="1:17" ht="18.75">
      <c r="A37" s="2" t="s">
        <v>51</v>
      </c>
      <c r="B37" s="1">
        <f>ATAN(TAN($B$17)*TAN(B23)*COS(B23))</f>
        <v>0.2127317806916103</v>
      </c>
      <c r="C37" s="1">
        <f t="shared" si="6"/>
        <v>12.188633201931887</v>
      </c>
      <c r="E37" s="1">
        <f t="shared" si="7"/>
        <v>2.592000000000001</v>
      </c>
      <c r="G37" s="2">
        <f t="shared" si="8"/>
        <v>12</v>
      </c>
      <c r="H37" s="2"/>
      <c r="I37" s="2" t="s">
        <v>52</v>
      </c>
      <c r="J37" s="1">
        <f>ATAN(TAN($B$17)*TAN(J23)*COS(J23))</f>
        <v>0.32721067365588286</v>
      </c>
      <c r="K37" s="1">
        <f t="shared" si="9"/>
        <v>18.7477906121146</v>
      </c>
      <c r="M37" s="1">
        <f t="shared" si="10"/>
        <v>4.0729350596345135</v>
      </c>
      <c r="O37" s="2">
        <f t="shared" si="11"/>
        <v>12</v>
      </c>
      <c r="Q37" s="13"/>
    </row>
  </sheetData>
  <sheetProtection sheet="1" objects="1" scenarios="1"/>
  <printOptions/>
  <pageMargins left="0.75" right="0.75" top="1" bottom="1" header="0.5" footer="0.5"/>
  <pageSetup fitToHeight="1" fitToWidth="1" horizontalDpi="360" verticalDpi="360" orientation="portrait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9765625" defaultRowHeight="21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Paradigm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M. Levin</dc:creator>
  <cp:keywords/>
  <dc:description/>
  <cp:lastModifiedBy>ECP User</cp:lastModifiedBy>
  <cp:lastPrinted>2003-11-15T16:02:22Z</cp:lastPrinted>
  <dcterms:created xsi:type="dcterms:W3CDTF">1996-09-22T16:09:37Z</dcterms:created>
  <dcterms:modified xsi:type="dcterms:W3CDTF">2012-07-17T19:23:00Z</dcterms:modified>
  <cp:category/>
  <cp:version/>
  <cp:contentType/>
  <cp:contentStatus/>
</cp:coreProperties>
</file>